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<sst xmlns="http://schemas.openxmlformats.org/spreadsheetml/2006/main" count="116" uniqueCount="84">
  <si>
    <t xml:space="preserve">€ /000 </t>
  </si>
  <si>
    <t>a</t>
  </si>
  <si>
    <t>b</t>
  </si>
  <si>
    <t>c</t>
  </si>
  <si>
    <t>e</t>
  </si>
  <si>
    <t>f</t>
  </si>
  <si>
    <t>(mln €)</t>
  </si>
  <si>
    <t>Profit and Loss account</t>
  </si>
  <si>
    <t>Sales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</si>
  <si>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</si>
  <si>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</si>
  <si>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</si>
  <si>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</si>
  <si>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</si>
  <si>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</si>
  <si>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</si>
  <si>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Capitalizations</t>
  </si>
  <si>
    <t>EBIT</t>
  </si>
  <si>
    <t>Income/(Loss) from investments</t>
  </si>
  <si>
    <t>Financial income</t>
  </si>
  <si>
    <t>Financial expenses</t>
  </si>
  <si>
    <t>Profit before tax</t>
  </si>
  <si>
    <t>Cash and cash equivalents</t>
  </si>
  <si>
    <t>Other current financial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</si>
  <si>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</si>
  <si>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</si>
  <si>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</si>
  <si>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</si>
  <si>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</si>
  <si>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</si>
  <si>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</si>
  <si>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</si>
  <si>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</si>
  <si>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</si>
  <si>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</si>
  <si>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</si>
  <si>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Revenues</t>
  </si>
  <si>
    <t>Operating costs</t>
  </si>
  <si>
    <t>Capitalisations</t>
  </si>
  <si>
    <t>EBITDA</t>
  </si>
  <si>
    <t>Group Ebitda</t>
  </si>
  <si>
    <t>Incidence %</t>
  </si>
  <si>
    <t>Ch. %</t>
  </si>
  <si>
    <t>Ch.</t>
  </si>
  <si>
    <t>Ch.%</t>
  </si>
  <si>
    <t>Fresh water</t>
  </si>
  <si>
    <t>Sewerage</t>
  </si>
  <si>
    <t>Depuration</t>
  </si>
  <si>
    <t>('000 ton)</t>
  </si>
  <si>
    <t>Production from plants</t>
  </si>
  <si>
    <t>Total waste treated</t>
  </si>
  <si>
    <t>Ianfil</t>
  </si>
  <si>
    <t>WTE</t>
  </si>
  <si>
    <t>Sorting plants</t>
  </si>
  <si>
    <t>Composting plants</t>
  </si>
  <si>
    <t>Other treatments</t>
  </si>
  <si>
    <t>Public Lighting</t>
  </si>
  <si>
    <t>Lighting towers ('000)</t>
  </si>
  <si>
    <t>Municipality served</t>
  </si>
  <si>
    <t>Total financial operations</t>
  </si>
  <si>
    <t>Tax</t>
  </si>
  <si>
    <t>Net profit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</si>
  <si>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</si>
  <si>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r>
      <t xml:space="preserve">Profit &amp; Loss </t>
    </r>
    <r>
      <rPr>
        <i/>
        <sz val="10"/>
        <color indexed="8"/>
        <rFont val="Arial"/>
        <family val="2"/>
      </rPr>
      <t>(mln €)</t>
    </r>
  </si>
  <si>
    <t>Volume distributed</t>
  </si>
  <si>
    <t>Volume sold</t>
  </si>
  <si>
    <t>- of which Trading</t>
  </si>
  <si>
    <t>(m cubic meter)</t>
  </si>
  <si>
    <t xml:space="preserve">Volume sold </t>
  </si>
  <si>
    <t>(Gwh)</t>
  </si>
  <si>
    <t>Volumi distributed</t>
  </si>
  <si>
    <t>Heat volumes delivered (Gwht)</t>
  </si>
  <si>
    <t>Urban waste</t>
  </si>
  <si>
    <t>Special waste</t>
  </si>
  <si>
    <t>Commercialized waste</t>
  </si>
  <si>
    <t>Inertisation plant (Chemical treatm.)</t>
  </si>
  <si>
    <t>Shareholders Hera Spa</t>
  </si>
  <si>
    <t>Minority shareholders</t>
  </si>
  <si>
    <t>d = a+b+c</t>
  </si>
  <si>
    <t>g = e+f</t>
  </si>
  <si>
    <t>h = d+g</t>
  </si>
  <si>
    <t>Inc.%</t>
  </si>
  <si>
    <t>Attributable to:</t>
  </si>
  <si>
    <t>Long term bank debts and bond emission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</si>
</sst>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#,##0.0;\+#,##0.0"/>
    <numFmt numFmtId="198" formatCode="#,##0.00;\(#,##0.00\)"/>
    <numFmt numFmtId="199" formatCode="#,##0.0;\-#,##0.0"/>
    <numFmt numFmtId="200" formatCode="\+#,##0.0;\-#,##0.0"/>
    <numFmt numFmtId="201" formatCode="\+#,##0;\(#,##0\)"/>
    <numFmt numFmtId="202" formatCode="\-#,##0.0;\(#,##0.0\)"/>
    <numFmt numFmtId="203" formatCode="0.0;\(0.0\)"/>
    <numFmt numFmtId="204" formatCode="\(#,##0.0\);\+#,##0.0"/>
    <numFmt numFmtId="205" formatCode="\(0.0%\);\(0.0%\)"/>
    <numFmt numFmtId="206" formatCode="\+#,##0.0%;\(0.0%\)"/>
    <numFmt numFmtId="207" formatCode="\(#,##0.0\);\(#,##0.0\)"/>
    <numFmt numFmtId="208" formatCode="\ #,##0.0;\(\ #,##0.0\)"/>
    <numFmt numFmtId="209" formatCode="\ #,##0.0;\(#,##0.0\)"/>
  </numFmts>
  <fonts count="5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1" fontId="7" fillId="0" borderId="12" xfId="49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4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14" xfId="0" applyBorder="1" applyAlignment="1">
      <alignment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187" fontId="7" fillId="0" borderId="0" xfId="49" applyNumberFormat="1" applyFont="1" applyBorder="1" applyAlignment="1">
      <alignment wrapText="1"/>
    </xf>
    <xf numFmtId="181" fontId="11" fillId="0" borderId="13" xfId="49" applyNumberFormat="1" applyFont="1" applyBorder="1" applyAlignment="1">
      <alignment wrapText="1"/>
    </xf>
    <xf numFmtId="0" fontId="12" fillId="0" borderId="0" xfId="0" applyFont="1" applyAlignment="1">
      <alignment/>
    </xf>
    <xf numFmtId="178" fontId="0" fillId="0" borderId="0" xfId="43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15" xfId="0" applyFont="1" applyBorder="1" applyAlignment="1">
      <alignment horizontal="left" wrapText="1"/>
    </xf>
    <xf numFmtId="180" fontId="11" fillId="0" borderId="14" xfId="49" applyNumberFormat="1" applyFont="1" applyBorder="1" applyAlignment="1">
      <alignment wrapText="1"/>
    </xf>
    <xf numFmtId="187" fontId="0" fillId="0" borderId="0" xfId="0" applyNumberFormat="1" applyAlignment="1">
      <alignment/>
    </xf>
    <xf numFmtId="178" fontId="0" fillId="0" borderId="14" xfId="43" applyNumberFormat="1" applyFont="1" applyBorder="1" applyAlignment="1">
      <alignment/>
    </xf>
    <xf numFmtId="182" fontId="7" fillId="0" borderId="0" xfId="43" applyNumberFormat="1" applyFont="1" applyBorder="1" applyAlignment="1">
      <alignment wrapText="1"/>
    </xf>
    <xf numFmtId="182" fontId="7" fillId="0" borderId="14" xfId="43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183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6" fillId="0" borderId="16" xfId="0" applyFont="1" applyBorder="1" applyAlignment="1">
      <alignment horizontal="left" wrapText="1"/>
    </xf>
    <xf numFmtId="200" fontId="7" fillId="0" borderId="0" xfId="0" applyNumberFormat="1" applyFont="1" applyBorder="1" applyAlignment="1">
      <alignment wrapText="1"/>
    </xf>
    <xf numFmtId="201" fontId="7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187" fontId="9" fillId="0" borderId="14" xfId="43" applyNumberFormat="1" applyFont="1" applyBorder="1" applyAlignment="1">
      <alignment wrapText="1"/>
    </xf>
    <xf numFmtId="203" fontId="0" fillId="0" borderId="0" xfId="0" applyNumberFormat="1" applyAlignment="1">
      <alignment/>
    </xf>
    <xf numFmtId="183" fontId="0" fillId="0" borderId="14" xfId="0" applyNumberFormat="1" applyBorder="1" applyAlignment="1">
      <alignment/>
    </xf>
    <xf numFmtId="178" fontId="12" fillId="0" borderId="0" xfId="43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9" fillId="0" borderId="12" xfId="0" applyFont="1" applyBorder="1" applyAlignment="1">
      <alignment/>
    </xf>
    <xf numFmtId="182" fontId="7" fillId="0" borderId="0" xfId="49" applyNumberFormat="1" applyFont="1" applyBorder="1" applyAlignment="1">
      <alignment wrapText="1"/>
    </xf>
    <xf numFmtId="178" fontId="0" fillId="0" borderId="14" xfId="43" applyNumberFormat="1" applyFont="1" applyFill="1" applyBorder="1" applyAlignment="1">
      <alignment/>
    </xf>
    <xf numFmtId="187" fontId="7" fillId="0" borderId="0" xfId="49" applyNumberFormat="1" applyFont="1" applyFill="1" applyBorder="1" applyAlignment="1">
      <alignment wrapText="1"/>
    </xf>
    <xf numFmtId="178" fontId="0" fillId="0" borderId="0" xfId="43" applyNumberFormat="1" applyFont="1" applyFill="1" applyBorder="1" applyAlignment="1">
      <alignment/>
    </xf>
    <xf numFmtId="182" fontId="7" fillId="0" borderId="0" xfId="49" applyNumberFormat="1" applyFont="1" applyFill="1" applyBorder="1" applyAlignment="1">
      <alignment wrapText="1"/>
    </xf>
    <xf numFmtId="204" fontId="7" fillId="0" borderId="0" xfId="49" applyNumberFormat="1" applyFont="1" applyBorder="1" applyAlignment="1">
      <alignment wrapText="1"/>
    </xf>
    <xf numFmtId="37" fontId="4" fillId="0" borderId="11" xfId="46" applyFont="1" applyBorder="1" applyAlignment="1" applyProtection="1">
      <alignment wrapText="1"/>
      <protection hidden="1"/>
    </xf>
    <xf numFmtId="37" fontId="4" fillId="0" borderId="15" xfId="46" applyFont="1" applyBorder="1" applyAlignment="1" applyProtection="1">
      <alignment wrapText="1"/>
      <protection hidden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10" fillId="0" borderId="11" xfId="46" applyFont="1" applyBorder="1" applyAlignment="1" applyProtection="1">
      <alignment horizontal="left" wrapText="1"/>
      <protection hidden="1"/>
    </xf>
    <xf numFmtId="37" fontId="2" fillId="0" borderId="16" xfId="46" applyFont="1" applyBorder="1" applyAlignment="1" applyProtection="1">
      <alignment wrapText="1"/>
      <protection hidden="1"/>
    </xf>
    <xf numFmtId="37" fontId="2" fillId="0" borderId="11" xfId="46" applyFont="1" applyBorder="1" applyAlignment="1" applyProtection="1">
      <alignment wrapText="1"/>
      <protection hidden="1"/>
    </xf>
    <xf numFmtId="0" fontId="0" fillId="0" borderId="11" xfId="0" applyBorder="1" applyAlignment="1">
      <alignment/>
    </xf>
    <xf numFmtId="176" fontId="0" fillId="0" borderId="0" xfId="0" applyNumberFormat="1" applyBorder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5" fillId="0" borderId="0" xfId="46" applyNumberFormat="1" applyFont="1" applyFill="1" applyBorder="1" applyProtection="1">
      <alignment/>
      <protection locked="0"/>
    </xf>
    <xf numFmtId="37" fontId="4" fillId="0" borderId="0" xfId="46" applyFont="1" applyFill="1" applyBorder="1" applyAlignment="1" applyProtection="1">
      <alignment vertical="center"/>
      <protection hidden="1"/>
    </xf>
    <xf numFmtId="37" fontId="2" fillId="0" borderId="0" xfId="46" applyFont="1" applyFill="1" applyBorder="1" applyAlignment="1" applyProtection="1">
      <alignment vertical="center"/>
      <protection hidden="1"/>
    </xf>
    <xf numFmtId="37" fontId="4" fillId="0" borderId="0" xfId="46" applyFont="1" applyFill="1" applyBorder="1" applyAlignment="1" applyProtection="1">
      <alignment horizontal="left" vertical="center"/>
      <protection hidden="1"/>
    </xf>
    <xf numFmtId="181" fontId="7" fillId="0" borderId="0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73" fontId="3" fillId="0" borderId="0" xfId="46" applyNumberFormat="1" applyFont="1" applyFill="1" applyBorder="1" applyAlignment="1" applyProtection="1">
      <alignment horizontal="right" vertical="center" wrapText="1"/>
      <protection/>
    </xf>
    <xf numFmtId="194" fontId="13" fillId="0" borderId="0" xfId="49" applyNumberFormat="1" applyFont="1" applyBorder="1" applyAlignment="1">
      <alignment wrapText="1"/>
    </xf>
    <xf numFmtId="194" fontId="14" fillId="0" borderId="0" xfId="49" applyNumberFormat="1" applyFont="1" applyBorder="1" applyAlignment="1">
      <alignment wrapText="1"/>
    </xf>
    <xf numFmtId="194" fontId="13" fillId="0" borderId="14" xfId="49" applyNumberFormat="1" applyFont="1" applyBorder="1" applyAlignment="1">
      <alignment wrapText="1"/>
    </xf>
    <xf numFmtId="187" fontId="11" fillId="0" borderId="0" xfId="49" applyNumberFormat="1" applyFont="1" applyFill="1" applyBorder="1" applyAlignment="1">
      <alignment wrapText="1"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78" fontId="0" fillId="0" borderId="11" xfId="43" applyNumberFormat="1" applyFont="1" applyFill="1" applyBorder="1" applyAlignment="1">
      <alignment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83" fontId="0" fillId="0" borderId="11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7" fillId="0" borderId="0" xfId="0" applyNumberFormat="1" applyFont="1" applyFill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4" xfId="49" applyNumberFormat="1" applyFont="1" applyBorder="1" applyAlignment="1">
      <alignment wrapText="1"/>
    </xf>
    <xf numFmtId="176" fontId="5" fillId="0" borderId="17" xfId="46" applyNumberFormat="1" applyFont="1" applyFill="1" applyBorder="1" applyProtection="1">
      <alignment/>
      <protection locked="0"/>
    </xf>
    <xf numFmtId="183" fontId="0" fillId="0" borderId="0" xfId="0" applyNumberFormat="1" applyFill="1" applyAlignment="1">
      <alignment/>
    </xf>
    <xf numFmtId="180" fontId="13" fillId="0" borderId="10" xfId="49" applyNumberFormat="1" applyFont="1" applyBorder="1" applyAlignment="1">
      <alignment wrapText="1"/>
    </xf>
    <xf numFmtId="0" fontId="15" fillId="0" borderId="0" xfId="0" applyFont="1" applyAlignment="1">
      <alignment/>
    </xf>
    <xf numFmtId="37" fontId="4" fillId="2" borderId="16" xfId="46" applyFont="1" applyFill="1" applyBorder="1" applyAlignment="1" applyProtection="1">
      <alignment horizontal="left" vertical="center" wrapText="1"/>
      <protection hidden="1"/>
    </xf>
    <xf numFmtId="173" fontId="3" fillId="2" borderId="10" xfId="46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2" fillId="0" borderId="0" xfId="46" applyFont="1" applyFill="1" applyBorder="1" applyAlignment="1" applyProtection="1">
      <alignment horizontal="center" vertical="center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208" fontId="5" fillId="0" borderId="10" xfId="43" applyNumberFormat="1" applyFont="1" applyFill="1" applyBorder="1" applyAlignment="1" applyProtection="1">
      <alignment vertical="center"/>
      <protection locked="0"/>
    </xf>
    <xf numFmtId="208" fontId="2" fillId="0" borderId="10" xfId="43" applyNumberFormat="1" applyFont="1" applyFill="1" applyBorder="1" applyAlignment="1" applyProtection="1">
      <alignment horizontal="right" vertical="center"/>
      <protection hidden="1"/>
    </xf>
    <xf numFmtId="172" fontId="3" fillId="2" borderId="10" xfId="46" applyNumberFormat="1" applyFont="1" applyFill="1" applyBorder="1" applyAlignment="1" applyProtection="1" quotePrefix="1">
      <alignment horizontal="center" vertical="center" wrapText="1"/>
      <protection/>
    </xf>
    <xf numFmtId="172" fontId="3" fillId="2" borderId="18" xfId="46" applyNumberFormat="1" applyFont="1" applyFill="1" applyBorder="1" applyAlignment="1" applyProtection="1" quotePrefix="1">
      <alignment horizontal="center" vertical="center" wrapText="1"/>
      <protection/>
    </xf>
    <xf numFmtId="37" fontId="2" fillId="2" borderId="16" xfId="46" applyFont="1" applyFill="1" applyBorder="1" applyAlignment="1" applyProtection="1">
      <alignment horizontal="left" vertical="center"/>
      <protection hidden="1"/>
    </xf>
    <xf numFmtId="0" fontId="6" fillId="13" borderId="16" xfId="0" applyFont="1" applyFill="1" applyBorder="1" applyAlignment="1">
      <alignment horizontal="left" vertical="center" wrapText="1"/>
    </xf>
    <xf numFmtId="15" fontId="6" fillId="13" borderId="10" xfId="0" applyNumberFormat="1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15" fontId="6" fillId="30" borderId="1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15" fontId="6" fillId="10" borderId="10" xfId="0" applyNumberFormat="1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15" fontId="6" fillId="34" borderId="1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15" fontId="6" fillId="35" borderId="10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8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8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15" fontId="6" fillId="34" borderId="18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8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8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 quotePrefix="1">
      <alignment horizontal="right" vertical="center" wrapText="1"/>
    </xf>
    <xf numFmtId="0" fontId="16" fillId="0" borderId="0" xfId="0" applyFont="1" applyAlignment="1">
      <alignment/>
    </xf>
    <xf numFmtId="209" fontId="4" fillId="0" borderId="0" xfId="43" applyNumberFormat="1" applyFont="1" applyFill="1" applyAlignment="1" applyProtection="1">
      <alignment horizontal="right" vertical="center"/>
      <protection hidden="1"/>
    </xf>
    <xf numFmtId="209" fontId="5" fillId="0" borderId="10" xfId="43" applyNumberFormat="1" applyFont="1" applyFill="1" applyBorder="1" applyAlignment="1" applyProtection="1">
      <alignment vertical="center"/>
      <protection locked="0"/>
    </xf>
    <xf numFmtId="178" fontId="2" fillId="0" borderId="10" xfId="43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80" fontId="11" fillId="0" borderId="14" xfId="49" applyNumberFormat="1" applyFont="1" applyFill="1" applyBorder="1" applyAlignment="1" quotePrefix="1">
      <alignment horizontal="right" wrapText="1"/>
    </xf>
    <xf numFmtId="176" fontId="1" fillId="0" borderId="17" xfId="46" applyNumberForma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1" fillId="0" borderId="0" xfId="46" applyNumberFormat="1" applyFont="1" applyFill="1" applyBorder="1" applyProtection="1">
      <alignment/>
      <protection locked="0"/>
    </xf>
    <xf numFmtId="176" fontId="1" fillId="0" borderId="14" xfId="46" applyNumberFormat="1" applyFill="1" applyBorder="1" applyProtection="1">
      <alignment/>
      <protection locked="0"/>
    </xf>
    <xf numFmtId="209" fontId="1" fillId="0" borderId="0" xfId="43" applyNumberFormat="1" applyFont="1" applyFill="1" applyBorder="1" applyAlignment="1" applyProtection="1">
      <alignment vertical="center"/>
      <protection locked="0"/>
    </xf>
    <xf numFmtId="187" fontId="6" fillId="0" borderId="0" xfId="49" applyNumberFormat="1" applyFont="1" applyBorder="1" applyAlignment="1">
      <alignment wrapText="1"/>
    </xf>
    <xf numFmtId="187" fontId="6" fillId="0" borderId="14" xfId="0" applyNumberFormat="1" applyFont="1" applyBorder="1" applyAlignment="1">
      <alignment wrapText="1"/>
    </xf>
    <xf numFmtId="182" fontId="6" fillId="0" borderId="0" xfId="49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82" fontId="6" fillId="0" borderId="14" xfId="0" applyNumberFormat="1" applyFont="1" applyBorder="1" applyAlignment="1">
      <alignment wrapText="1"/>
    </xf>
    <xf numFmtId="181" fontId="6" fillId="0" borderId="13" xfId="49" applyNumberFormat="1" applyFont="1" applyBorder="1" applyAlignment="1">
      <alignment wrapText="1"/>
    </xf>
    <xf numFmtId="182" fontId="7" fillId="0" borderId="14" xfId="49" applyNumberFormat="1" applyFont="1" applyBorder="1" applyAlignment="1">
      <alignment wrapText="1"/>
    </xf>
    <xf numFmtId="181" fontId="7" fillId="0" borderId="19" xfId="49" applyNumberFormat="1" applyFont="1" applyBorder="1" applyAlignment="1">
      <alignment wrapText="1"/>
    </xf>
    <xf numFmtId="181" fontId="11" fillId="0" borderId="12" xfId="49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7" fontId="6" fillId="0" borderId="0" xfId="43" applyNumberFormat="1" applyFont="1" applyBorder="1" applyAlignment="1">
      <alignment wrapText="1"/>
    </xf>
    <xf numFmtId="187" fontId="0" fillId="0" borderId="0" xfId="43" applyNumberFormat="1" applyFont="1" applyAlignment="1">
      <alignment/>
    </xf>
    <xf numFmtId="187" fontId="9" fillId="0" borderId="0" xfId="0" applyNumberFormat="1" applyFont="1" applyAlignment="1">
      <alignment/>
    </xf>
    <xf numFmtId="183" fontId="6" fillId="0" borderId="0" xfId="0" applyNumberFormat="1" applyFont="1" applyBorder="1" applyAlignment="1">
      <alignment wrapText="1"/>
    </xf>
    <xf numFmtId="203" fontId="6" fillId="0" borderId="0" xfId="49" applyNumberFormat="1" applyFont="1" applyBorder="1" applyAlignment="1">
      <alignment wrapText="1"/>
    </xf>
    <xf numFmtId="203" fontId="6" fillId="0" borderId="14" xfId="0" applyNumberFormat="1" applyFont="1" applyBorder="1" applyAlignment="1">
      <alignment wrapText="1"/>
    </xf>
    <xf numFmtId="203" fontId="9" fillId="0" borderId="0" xfId="0" applyNumberFormat="1" applyFont="1" applyAlignment="1">
      <alignment/>
    </xf>
    <xf numFmtId="187" fontId="6" fillId="0" borderId="10" xfId="0" applyNumberFormat="1" applyFont="1" applyFill="1" applyBorder="1" applyAlignment="1">
      <alignment wrapText="1"/>
    </xf>
    <xf numFmtId="187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8" xfId="49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0</xdr:col>
      <xdr:colOff>1619250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</xdr:col>
      <xdr:colOff>666750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35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in%20Excel%209M%202014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Idrico"/>
      <sheetName val="Ambiente"/>
      <sheetName val="Alt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0.140625" style="0" customWidth="1"/>
    <col min="2" max="3" width="15.140625" style="0" customWidth="1"/>
    <col min="4" max="4" width="14.421875" style="0" customWidth="1"/>
  </cols>
  <sheetData>
    <row r="3" ht="25.5" customHeight="1"/>
    <row r="4" spans="1:3" ht="12.75">
      <c r="A4" s="57" t="s">
        <v>7</v>
      </c>
      <c r="B4" s="1"/>
      <c r="C4" s="1"/>
    </row>
    <row r="5" spans="1:3" ht="21" customHeight="1">
      <c r="A5" s="91" t="s">
        <v>0</v>
      </c>
      <c r="B5" s="92">
        <v>41912</v>
      </c>
      <c r="C5" s="92">
        <v>41547</v>
      </c>
    </row>
    <row r="6" spans="1:3" ht="15.75" customHeight="1">
      <c r="A6" s="58" t="s">
        <v>8</v>
      </c>
      <c r="B6" s="146">
        <v>2995833</v>
      </c>
      <c r="C6" s="146">
        <v>3279732</v>
      </c>
    </row>
    <row r="7" spans="1:3" ht="12.75">
      <c r="A7" s="58" t="s">
        <v>9</v>
      </c>
      <c r="B7" s="147">
        <v>221003</v>
      </c>
      <c r="C7" s="147">
        <v>173076</v>
      </c>
    </row>
    <row r="8" spans="1:3" ht="12.75">
      <c r="A8" s="58" t="s">
        <v>10</v>
      </c>
      <c r="B8" s="147">
        <v>-1365540</v>
      </c>
      <c r="C8" s="147">
        <v>-1733095</v>
      </c>
    </row>
    <row r="9" spans="1:3" ht="12.75">
      <c r="A9" s="59" t="s">
        <v>11</v>
      </c>
      <c r="B9" s="147"/>
      <c r="C9" s="147"/>
    </row>
    <row r="10" spans="1:3" ht="12.75">
      <c r="A10" s="58" t="s">
        <v>12</v>
      </c>
      <c r="B10" s="147">
        <v>-819718</v>
      </c>
      <c r="C10" s="147">
        <v>-756752</v>
      </c>
    </row>
    <row r="11" spans="1:3" ht="12.75">
      <c r="A11" s="58" t="s">
        <v>13</v>
      </c>
      <c r="B11" s="147">
        <v>-369945</v>
      </c>
      <c r="C11" s="147">
        <v>-355738</v>
      </c>
    </row>
    <row r="12" spans="1:3" ht="12.75">
      <c r="A12" s="58" t="s">
        <v>14</v>
      </c>
      <c r="B12" s="147">
        <v>-319806</v>
      </c>
      <c r="C12" s="147">
        <v>-299126</v>
      </c>
    </row>
    <row r="13" spans="1:3" ht="12.75">
      <c r="A13" s="58" t="s">
        <v>15</v>
      </c>
      <c r="B13" s="147">
        <v>-40826</v>
      </c>
      <c r="C13" s="147">
        <v>-38052</v>
      </c>
    </row>
    <row r="14" spans="1:3" ht="12.75">
      <c r="A14" s="58" t="s">
        <v>16</v>
      </c>
      <c r="B14" s="147">
        <v>11892</v>
      </c>
      <c r="C14" s="147">
        <v>11625</v>
      </c>
    </row>
    <row r="15" spans="1:3" ht="12.75">
      <c r="A15" s="58"/>
      <c r="B15" s="63"/>
      <c r="C15" s="63"/>
    </row>
    <row r="16" spans="1:3" ht="12.75">
      <c r="A16" s="60" t="s">
        <v>17</v>
      </c>
      <c r="B16" s="64">
        <f>SUM(B6:B14)</f>
        <v>312893</v>
      </c>
      <c r="C16" s="64">
        <f>SUM(C6:C14)</f>
        <v>281670</v>
      </c>
    </row>
    <row r="17" spans="1:3" ht="12.75">
      <c r="A17" s="58"/>
      <c r="B17" s="63"/>
      <c r="C17" s="63"/>
    </row>
    <row r="18" spans="1:3" ht="12.75">
      <c r="A18" s="58" t="s">
        <v>18</v>
      </c>
      <c r="B18" s="144">
        <v>4876</v>
      </c>
      <c r="C18" s="144">
        <v>8299</v>
      </c>
    </row>
    <row r="19" spans="1:3" ht="12.75">
      <c r="A19" s="58" t="s">
        <v>19</v>
      </c>
      <c r="B19" s="144">
        <v>122170</v>
      </c>
      <c r="C19" s="144">
        <v>72953</v>
      </c>
    </row>
    <row r="20" spans="1:3" ht="12.75">
      <c r="A20" s="58" t="s">
        <v>20</v>
      </c>
      <c r="B20" s="144">
        <v>-232195</v>
      </c>
      <c r="C20" s="144">
        <v>-185421</v>
      </c>
    </row>
    <row r="21" spans="1:3" ht="12.75">
      <c r="A21" s="58"/>
      <c r="B21" s="144"/>
      <c r="C21" s="144"/>
    </row>
    <row r="22" spans="1:3" ht="12.75">
      <c r="A22" s="60" t="s">
        <v>59</v>
      </c>
      <c r="B22" s="64">
        <f>SUM(B18:B20)</f>
        <v>-105149</v>
      </c>
      <c r="C22" s="64">
        <f>SUM(C18:C20)</f>
        <v>-104169</v>
      </c>
    </row>
    <row r="23" spans="1:3" ht="12.75">
      <c r="A23" s="61"/>
      <c r="B23" s="65"/>
      <c r="C23" s="65"/>
    </row>
    <row r="24" spans="1:3" ht="12.75">
      <c r="A24" s="58" t="s">
        <v>15</v>
      </c>
      <c r="B24" s="148">
        <v>0</v>
      </c>
      <c r="C24" s="148">
        <v>43705</v>
      </c>
    </row>
    <row r="25" spans="1:3" ht="12.75">
      <c r="A25" s="62"/>
      <c r="B25" s="63"/>
      <c r="C25" s="63"/>
    </row>
    <row r="26" spans="1:3" ht="12.75">
      <c r="A26" s="60" t="s">
        <v>21</v>
      </c>
      <c r="B26" s="64">
        <f>B16+B22+B24</f>
        <v>207744</v>
      </c>
      <c r="C26" s="64">
        <f>C16+C22+C24</f>
        <v>221206</v>
      </c>
    </row>
    <row r="27" spans="1:3" ht="12.75">
      <c r="A27" s="62"/>
      <c r="B27" s="65"/>
      <c r="C27" s="65"/>
    </row>
    <row r="28" spans="1:3" ht="12.75">
      <c r="A28" s="55" t="s">
        <v>60</v>
      </c>
      <c r="B28" s="148">
        <v>-85385</v>
      </c>
      <c r="C28" s="148">
        <v>-79487</v>
      </c>
    </row>
    <row r="29" spans="1:3" ht="12.75">
      <c r="A29" s="61"/>
      <c r="B29" s="65"/>
      <c r="C29" s="65"/>
    </row>
    <row r="30" spans="1:3" ht="12.75">
      <c r="A30" s="60" t="s">
        <v>61</v>
      </c>
      <c r="B30" s="64">
        <f>SUM(B26+B28)</f>
        <v>122359</v>
      </c>
      <c r="C30" s="64">
        <f>SUM(C26+C28)</f>
        <v>141719</v>
      </c>
    </row>
    <row r="31" spans="1:3" ht="7.5" customHeight="1">
      <c r="A31" s="62"/>
      <c r="B31" s="87"/>
      <c r="C31" s="87"/>
    </row>
    <row r="32" spans="1:3" ht="12.75">
      <c r="A32" s="137" t="s">
        <v>82</v>
      </c>
      <c r="B32" s="63"/>
      <c r="C32" s="63"/>
    </row>
    <row r="33" spans="1:3" ht="12.75">
      <c r="A33" s="55" t="s">
        <v>76</v>
      </c>
      <c r="B33" s="147">
        <v>111335</v>
      </c>
      <c r="C33" s="147">
        <v>130549</v>
      </c>
    </row>
    <row r="34" spans="1:3" ht="12.75">
      <c r="A34" s="56" t="s">
        <v>77</v>
      </c>
      <c r="B34" s="149">
        <v>11024</v>
      </c>
      <c r="C34" s="149">
        <v>11170</v>
      </c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B30:C30 B26:C26 B22:C22" unlockedFormula="1"/>
    <ignoredError sqref="B16:C16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421875" style="95" customWidth="1"/>
    <col min="2" max="2" width="49.57421875" style="0" bestFit="1" customWidth="1"/>
    <col min="3" max="3" width="16.7109375" style="0" customWidth="1"/>
    <col min="4" max="4" width="15.28125" style="0" customWidth="1"/>
  </cols>
  <sheetData>
    <row r="5" spans="1:4" ht="12.75">
      <c r="A5" s="96"/>
      <c r="B5" s="103" t="s">
        <v>62</v>
      </c>
      <c r="C5" s="101">
        <v>41912</v>
      </c>
      <c r="D5" s="102">
        <v>41639</v>
      </c>
    </row>
    <row r="6" spans="1:4" ht="12.75">
      <c r="A6" s="93" t="s">
        <v>1</v>
      </c>
      <c r="B6" s="5" t="s">
        <v>22</v>
      </c>
      <c r="C6" s="140">
        <v>702.5</v>
      </c>
      <c r="D6" s="140">
        <v>926.9</v>
      </c>
    </row>
    <row r="7" spans="1:4" ht="12.75">
      <c r="A7" s="93"/>
      <c r="B7" s="66"/>
      <c r="C7" s="97"/>
      <c r="D7" s="97"/>
    </row>
    <row r="8" spans="1:4" s="4" customFormat="1" ht="12.75">
      <c r="A8" s="94" t="s">
        <v>2</v>
      </c>
      <c r="B8" s="6" t="s">
        <v>23</v>
      </c>
      <c r="C8" s="98">
        <v>114.1</v>
      </c>
      <c r="D8" s="98">
        <v>84.9</v>
      </c>
    </row>
    <row r="9" spans="1:4" ht="12.75">
      <c r="A9" s="93"/>
      <c r="B9" s="66"/>
      <c r="C9" s="97"/>
      <c r="D9" s="97"/>
    </row>
    <row r="10" spans="1:4" ht="12.75">
      <c r="A10" s="93"/>
      <c r="B10" s="66" t="s">
        <v>24</v>
      </c>
      <c r="C10" s="138">
        <v>-197.3</v>
      </c>
      <c r="D10" s="138">
        <v>-227.6</v>
      </c>
    </row>
    <row r="11" spans="1:4" ht="12.75">
      <c r="A11" s="93"/>
      <c r="B11" s="66" t="s">
        <v>25</v>
      </c>
      <c r="C11" s="138">
        <v>-303.2</v>
      </c>
      <c r="D11" s="138">
        <v>-110.5</v>
      </c>
    </row>
    <row r="12" spans="1:4" ht="12.75">
      <c r="A12" s="93"/>
      <c r="B12" s="66" t="s">
        <v>26</v>
      </c>
      <c r="C12" s="138">
        <v>-51.2</v>
      </c>
      <c r="D12" s="138">
        <v>-23.7</v>
      </c>
    </row>
    <row r="13" spans="1:4" ht="12.75">
      <c r="A13" s="93"/>
      <c r="B13" s="66" t="s">
        <v>27</v>
      </c>
      <c r="C13" s="138">
        <v>-2.6</v>
      </c>
      <c r="D13" s="138">
        <v>-2</v>
      </c>
    </row>
    <row r="14" spans="1:4" ht="12.75">
      <c r="A14" s="93"/>
      <c r="B14" s="66"/>
      <c r="C14" s="141"/>
      <c r="D14" s="141"/>
    </row>
    <row r="15" spans="1:4" ht="12.75">
      <c r="A15" s="93" t="s">
        <v>3</v>
      </c>
      <c r="B15" s="5" t="s">
        <v>28</v>
      </c>
      <c r="C15" s="139">
        <f>SUM(C10:C13)</f>
        <v>-554.3000000000001</v>
      </c>
      <c r="D15" s="139">
        <f>SUM(D10:D13)</f>
        <v>-363.8</v>
      </c>
    </row>
    <row r="16" spans="1:4" ht="12.75">
      <c r="A16" s="93"/>
      <c r="B16" s="66"/>
      <c r="C16" s="141"/>
      <c r="D16" s="141"/>
    </row>
    <row r="17" spans="1:4" ht="12.75">
      <c r="A17" s="94" t="s">
        <v>78</v>
      </c>
      <c r="B17" s="5" t="s">
        <v>29</v>
      </c>
      <c r="C17" s="100">
        <f>+C15+C8+C6</f>
        <v>262.29999999999995</v>
      </c>
      <c r="D17" s="100">
        <f>+D15+D8+D6</f>
        <v>648</v>
      </c>
    </row>
    <row r="18" spans="1:4" ht="12.75">
      <c r="A18" s="93"/>
      <c r="B18" s="67"/>
      <c r="C18" s="141"/>
      <c r="D18" s="141"/>
    </row>
    <row r="19" spans="1:4" ht="12.75">
      <c r="A19" s="93" t="s">
        <v>4</v>
      </c>
      <c r="B19" s="5" t="s">
        <v>30</v>
      </c>
      <c r="C19" s="98">
        <v>44.4</v>
      </c>
      <c r="D19" s="98">
        <v>52.6</v>
      </c>
    </row>
    <row r="20" spans="1:4" ht="12.75">
      <c r="A20" s="93"/>
      <c r="B20" s="66"/>
      <c r="C20" s="141"/>
      <c r="D20" s="141"/>
    </row>
    <row r="21" spans="1:4" ht="12.75">
      <c r="A21" s="93"/>
      <c r="B21" s="66" t="s">
        <v>83</v>
      </c>
      <c r="C21" s="150">
        <v>-2978</v>
      </c>
      <c r="D21" s="150">
        <v>-3243.3</v>
      </c>
    </row>
    <row r="22" spans="1:4" ht="12.75">
      <c r="A22" s="93"/>
      <c r="B22" s="66" t="s">
        <v>31</v>
      </c>
      <c r="C22" s="150">
        <v>-6.9</v>
      </c>
      <c r="D22" s="150">
        <v>-8.5</v>
      </c>
    </row>
    <row r="23" spans="1:4" ht="12.75">
      <c r="A23" s="93"/>
      <c r="B23" s="68" t="s">
        <v>32</v>
      </c>
      <c r="C23" s="150">
        <v>-22.7</v>
      </c>
      <c r="D23" s="150">
        <v>-15.5</v>
      </c>
    </row>
    <row r="24" spans="1:4" ht="12.75">
      <c r="A24" s="93"/>
      <c r="B24" s="42"/>
      <c r="C24" s="141"/>
      <c r="D24" s="141"/>
    </row>
    <row r="25" spans="1:4" ht="12.75">
      <c r="A25" s="93" t="s">
        <v>5</v>
      </c>
      <c r="B25" s="5" t="s">
        <v>33</v>
      </c>
      <c r="C25" s="139">
        <f>SUM(C21:C24)</f>
        <v>-3007.6</v>
      </c>
      <c r="D25" s="139">
        <f>SUM(D21:D23)</f>
        <v>-3267.3</v>
      </c>
    </row>
    <row r="26" spans="1:4" ht="12.75">
      <c r="A26" s="93"/>
      <c r="B26" s="68"/>
      <c r="C26" s="99"/>
      <c r="D26" s="99"/>
    </row>
    <row r="27" spans="1:4" ht="12.75">
      <c r="A27" s="94" t="s">
        <v>79</v>
      </c>
      <c r="B27" s="5" t="s">
        <v>34</v>
      </c>
      <c r="C27" s="139">
        <f>C19+C25</f>
        <v>-2963.2</v>
      </c>
      <c r="D27" s="139">
        <f>D19+D25</f>
        <v>-3214.7000000000003</v>
      </c>
    </row>
    <row r="28" spans="1:4" ht="12.75">
      <c r="A28" s="93"/>
      <c r="B28" s="68"/>
      <c r="C28" s="99"/>
      <c r="D28" s="99"/>
    </row>
    <row r="29" spans="1:4" ht="12.75">
      <c r="A29" s="94" t="s">
        <v>80</v>
      </c>
      <c r="B29" s="5" t="s">
        <v>35</v>
      </c>
      <c r="C29" s="139">
        <f>+C27+C17</f>
        <v>-2700.8999999999996</v>
      </c>
      <c r="D29" s="139">
        <f>D17+D27</f>
        <v>-2566.7000000000003</v>
      </c>
    </row>
    <row r="30" spans="2:4" ht="12.75">
      <c r="B30" s="7"/>
      <c r="C30" s="8"/>
      <c r="D30" s="8"/>
    </row>
    <row r="31" spans="2:4" ht="12.75">
      <c r="B31" s="7"/>
      <c r="C31" s="8"/>
      <c r="D31" s="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9:D29 C27:D27 C25:D25 C15:D1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8.421875" style="0" bestFit="1" customWidth="1"/>
    <col min="6" max="6" width="10.8515625" style="0" customWidth="1"/>
    <col min="7" max="7" width="12.8515625" style="0" customWidth="1"/>
  </cols>
  <sheetData>
    <row r="2" spans="1:7" ht="12.75">
      <c r="A2" s="104" t="s">
        <v>63</v>
      </c>
      <c r="B2" s="105">
        <v>41912</v>
      </c>
      <c r="C2" s="119" t="s">
        <v>81</v>
      </c>
      <c r="D2" s="105">
        <v>41547</v>
      </c>
      <c r="E2" s="119" t="s">
        <v>81</v>
      </c>
      <c r="F2" s="124" t="s">
        <v>43</v>
      </c>
      <c r="G2" s="125" t="s">
        <v>42</v>
      </c>
    </row>
    <row r="3" spans="1:7" s="13" customFormat="1" ht="12.75">
      <c r="A3" s="14" t="s">
        <v>36</v>
      </c>
      <c r="B3" s="151">
        <v>1003.3</v>
      </c>
      <c r="C3" s="72">
        <f>+B3/B$3</f>
        <v>1</v>
      </c>
      <c r="D3" s="151">
        <v>1166.2</v>
      </c>
      <c r="E3" s="72">
        <f>+D3/D$3</f>
        <v>1</v>
      </c>
      <c r="F3" s="153">
        <f>B3-D3</f>
        <v>-162.9000000000001</v>
      </c>
      <c r="G3" s="154">
        <f>B3/D3-1</f>
        <v>-0.13968444520665413</v>
      </c>
    </row>
    <row r="4" spans="1:7" ht="12.75">
      <c r="A4" s="15" t="s">
        <v>37</v>
      </c>
      <c r="B4" s="24">
        <v>-735.2</v>
      </c>
      <c r="C4" s="73">
        <f>+B4/B$3</f>
        <v>-0.7327818199940198</v>
      </c>
      <c r="D4" s="24">
        <v>-910.8</v>
      </c>
      <c r="E4" s="73">
        <f>+D4/D$3</f>
        <v>-0.7809981135311267</v>
      </c>
      <c r="F4" s="54">
        <f>B4-D4</f>
        <v>175.5999999999999</v>
      </c>
      <c r="G4" s="9">
        <f>B4/D4-1</f>
        <v>-0.19279754062362753</v>
      </c>
    </row>
    <row r="5" spans="1:7" ht="12.75">
      <c r="A5" s="15" t="s">
        <v>13</v>
      </c>
      <c r="B5" s="24">
        <v>-86.9</v>
      </c>
      <c r="C5" s="73">
        <f>+B5/B$3</f>
        <v>-0.08661417322834647</v>
      </c>
      <c r="D5" s="24">
        <v>-83.9</v>
      </c>
      <c r="E5" s="73">
        <f>+D5/D$3</f>
        <v>-0.0719430629394615</v>
      </c>
      <c r="F5" s="54">
        <f>B5-D5</f>
        <v>-3</v>
      </c>
      <c r="G5" s="9">
        <f>B5/D5-1</f>
        <v>0.035756853396901045</v>
      </c>
    </row>
    <row r="6" spans="1:7" ht="12.75">
      <c r="A6" s="15" t="s">
        <v>38</v>
      </c>
      <c r="B6" s="24">
        <v>2.9</v>
      </c>
      <c r="C6" s="73">
        <f>+B6/B$3</f>
        <v>0.002890461477125486</v>
      </c>
      <c r="D6" s="24">
        <v>3.1</v>
      </c>
      <c r="E6" s="73">
        <f>+D6/D$3</f>
        <v>0.0026582061395986965</v>
      </c>
      <c r="F6" s="49">
        <f>B6-D6</f>
        <v>-0.20000000000000018</v>
      </c>
      <c r="G6" s="9">
        <f>B6/D6-1</f>
        <v>-0.06451612903225812</v>
      </c>
    </row>
    <row r="7" spans="1:7" s="13" customFormat="1" ht="12.75">
      <c r="A7" s="16" t="s">
        <v>39</v>
      </c>
      <c r="B7" s="152">
        <f>SUM(B3:B6)</f>
        <v>184.0999999999999</v>
      </c>
      <c r="C7" s="74">
        <f>+B7/B$3</f>
        <v>0.1834944682547592</v>
      </c>
      <c r="D7" s="152">
        <f>SUM(D3:D6)</f>
        <v>174.60000000000008</v>
      </c>
      <c r="E7" s="74">
        <f>+D7/D$3</f>
        <v>0.14971702966901052</v>
      </c>
      <c r="F7" s="155">
        <f>B7-D7</f>
        <v>9.49999999999983</v>
      </c>
      <c r="G7" s="156">
        <f>B7/D7-1</f>
        <v>0.05441008018327498</v>
      </c>
    </row>
    <row r="8" ht="12.75">
      <c r="A8" s="17"/>
    </row>
    <row r="9" spans="1:7" ht="12.75">
      <c r="A9" s="106" t="s">
        <v>67</v>
      </c>
      <c r="B9" s="105">
        <f>B2</f>
        <v>41912</v>
      </c>
      <c r="C9" s="105">
        <f>D2</f>
        <v>41547</v>
      </c>
      <c r="D9" s="124" t="str">
        <f>F2</f>
        <v>Ch.</v>
      </c>
      <c r="E9" s="125" t="str">
        <f>G2</f>
        <v>Ch. %</v>
      </c>
      <c r="F9" s="71"/>
      <c r="G9" s="71"/>
    </row>
    <row r="10" spans="1:7" ht="12.75">
      <c r="A10" s="15" t="s">
        <v>64</v>
      </c>
      <c r="B10" s="27">
        <v>1633.8</v>
      </c>
      <c r="C10" s="27">
        <v>1951.4</v>
      </c>
      <c r="D10" s="49">
        <f>B10-C10</f>
        <v>-317.60000000000014</v>
      </c>
      <c r="E10" s="158">
        <f>B10/C10-1</f>
        <v>-0.16275494516757205</v>
      </c>
      <c r="F10" s="51"/>
      <c r="G10" s="51"/>
    </row>
    <row r="11" spans="1:7" ht="12.75">
      <c r="A11" s="15" t="s">
        <v>65</v>
      </c>
      <c r="B11" s="27">
        <v>1683.7</v>
      </c>
      <c r="C11" s="27">
        <v>2237.4</v>
      </c>
      <c r="D11" s="49">
        <f>B11-C11</f>
        <v>-553.7</v>
      </c>
      <c r="E11" s="9">
        <f>B11/C11-1</f>
        <v>-0.24747474747474751</v>
      </c>
      <c r="F11" s="51"/>
      <c r="G11" s="51"/>
    </row>
    <row r="12" spans="1:7" s="26" customFormat="1" ht="12.75">
      <c r="A12" s="136" t="s">
        <v>66</v>
      </c>
      <c r="B12" s="46">
        <v>491.2</v>
      </c>
      <c r="C12" s="46">
        <v>695.6</v>
      </c>
      <c r="D12" s="49">
        <f>B12-C12</f>
        <v>-204.40000000000003</v>
      </c>
      <c r="E12" s="159">
        <f>B12/C12-1</f>
        <v>-0.2938470385278896</v>
      </c>
      <c r="F12" s="75"/>
      <c r="G12" s="75"/>
    </row>
    <row r="13" spans="1:7" ht="12.75">
      <c r="A13" s="47" t="s">
        <v>71</v>
      </c>
      <c r="B13" s="50">
        <v>288.2</v>
      </c>
      <c r="C13" s="50">
        <v>360</v>
      </c>
      <c r="D13" s="157">
        <f>B13-C13</f>
        <v>-71.80000000000001</v>
      </c>
      <c r="E13" s="10">
        <f>B13/C13-1</f>
        <v>-0.19944444444444442</v>
      </c>
      <c r="F13" s="51"/>
      <c r="G13" s="51"/>
    </row>
    <row r="14" ht="16.5" customHeight="1"/>
    <row r="15" spans="1:5" ht="12.75">
      <c r="A15" s="106" t="s">
        <v>6</v>
      </c>
      <c r="B15" s="105">
        <f>B9</f>
        <v>41912</v>
      </c>
      <c r="C15" s="105">
        <f>C9</f>
        <v>41547</v>
      </c>
      <c r="D15" s="124" t="str">
        <f>D9</f>
        <v>Ch.</v>
      </c>
      <c r="E15" s="125" t="str">
        <f>E9</f>
        <v>Ch. %</v>
      </c>
    </row>
    <row r="16" spans="1:5" ht="12.75">
      <c r="A16" s="14" t="s">
        <v>39</v>
      </c>
      <c r="B16" s="160">
        <f>B7</f>
        <v>184.0999999999999</v>
      </c>
      <c r="C16" s="160">
        <f>D7</f>
        <v>174.60000000000008</v>
      </c>
      <c r="D16" s="161">
        <f>B16-C16</f>
        <v>9.49999999999983</v>
      </c>
      <c r="E16" s="154">
        <f>B16/C16-1</f>
        <v>0.05441008018327498</v>
      </c>
    </row>
    <row r="17" spans="1:5" s="26" customFormat="1" ht="12.75">
      <c r="A17" s="15" t="s">
        <v>40</v>
      </c>
      <c r="B17" s="88">
        <v>632.7</v>
      </c>
      <c r="C17" s="88">
        <v>580.8</v>
      </c>
      <c r="D17" s="11">
        <f>B17-C17</f>
        <v>51.90000000000009</v>
      </c>
      <c r="E17" s="9">
        <f>B17/C17-1</f>
        <v>0.08935950413223148</v>
      </c>
    </row>
    <row r="18" spans="1:5" ht="12.75">
      <c r="A18" s="29" t="s">
        <v>41</v>
      </c>
      <c r="B18" s="30">
        <f>+B16/B17</f>
        <v>0.29097518571202763</v>
      </c>
      <c r="C18" s="30">
        <f>C16/C17</f>
        <v>0.30061983471074394</v>
      </c>
      <c r="D18" s="145"/>
      <c r="E18" s="25"/>
    </row>
    <row r="19" ht="12.75">
      <c r="A19" s="17"/>
    </row>
    <row r="20" ht="12.75">
      <c r="A20" s="1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2.00390625" style="0" customWidth="1"/>
    <col min="2" max="4" width="10.140625" style="0" bestFit="1" customWidth="1"/>
    <col min="5" max="5" width="11.57421875" style="0" bestFit="1" customWidth="1"/>
    <col min="6" max="6" width="10.8515625" style="0" customWidth="1"/>
    <col min="7" max="7" width="11.57421875" style="0" customWidth="1"/>
  </cols>
  <sheetData>
    <row r="1" ht="12.75">
      <c r="A1" s="17"/>
    </row>
    <row r="2" spans="1:7" ht="12.75">
      <c r="A2" s="107" t="s">
        <v>63</v>
      </c>
      <c r="B2" s="108">
        <f>+GAS!B2</f>
        <v>41912</v>
      </c>
      <c r="C2" s="120" t="s">
        <v>81</v>
      </c>
      <c r="D2" s="108">
        <f>+GAS!D2</f>
        <v>41547</v>
      </c>
      <c r="E2" s="120" t="s">
        <v>81</v>
      </c>
      <c r="F2" s="126" t="s">
        <v>43</v>
      </c>
      <c r="G2" s="127" t="s">
        <v>44</v>
      </c>
    </row>
    <row r="3" spans="1:7" ht="12.75">
      <c r="A3" s="14" t="str">
        <f>GAS!A3</f>
        <v>Revenues</v>
      </c>
      <c r="B3" s="162">
        <v>1043.8</v>
      </c>
      <c r="C3" s="78">
        <f>+B3/B$3</f>
        <v>1</v>
      </c>
      <c r="D3" s="162">
        <v>1140.6</v>
      </c>
      <c r="E3" s="78">
        <f>+D3/D$3</f>
        <v>1</v>
      </c>
      <c r="F3" s="153">
        <f>+B3-D3</f>
        <v>-96.79999999999995</v>
      </c>
      <c r="G3" s="154">
        <f>B3/D3-1</f>
        <v>-0.084867613536735</v>
      </c>
    </row>
    <row r="4" spans="1:7" ht="12.75">
      <c r="A4" s="23" t="str">
        <f>GAS!A4</f>
        <v>Operating costs</v>
      </c>
      <c r="B4" s="163">
        <v>-929.5</v>
      </c>
      <c r="C4" s="79">
        <f>+B4/B$3</f>
        <v>-0.8904962636520407</v>
      </c>
      <c r="D4" s="163">
        <v>-1055.7</v>
      </c>
      <c r="E4" s="79">
        <f>+D4/D$3</f>
        <v>-0.9255654918463967</v>
      </c>
      <c r="F4" s="54">
        <f>B4-D4</f>
        <v>126.20000000000005</v>
      </c>
      <c r="G4" s="9">
        <f>B4/D4-1</f>
        <v>-0.1195415364213318</v>
      </c>
    </row>
    <row r="5" spans="1:7" ht="12.75">
      <c r="A5" s="23" t="str">
        <f>GAS!A5</f>
        <v>Personnel costs</v>
      </c>
      <c r="B5" s="163">
        <v>-31.9</v>
      </c>
      <c r="C5" s="79">
        <f>+B5/B$3</f>
        <v>-0.030561410231845183</v>
      </c>
      <c r="D5" s="163">
        <v>-24.5</v>
      </c>
      <c r="E5" s="79">
        <f>+D5/D$3</f>
        <v>-0.02147992284762406</v>
      </c>
      <c r="F5" s="54">
        <f>+B5-D5</f>
        <v>-7.399999999999999</v>
      </c>
      <c r="G5" s="9">
        <f>B5/D5-1</f>
        <v>0.30204081632653046</v>
      </c>
    </row>
    <row r="6" spans="1:7" ht="12.75">
      <c r="A6" s="23" t="str">
        <f>GAS!A6</f>
        <v>Capitalisations</v>
      </c>
      <c r="B6" s="163">
        <v>5</v>
      </c>
      <c r="C6" s="73">
        <f>+B6/B$3</f>
        <v>0.004790189691511784</v>
      </c>
      <c r="D6" s="163">
        <v>4.6</v>
      </c>
      <c r="E6" s="73">
        <f>+D6/D$3</f>
        <v>0.0040329651060845165</v>
      </c>
      <c r="F6" s="49">
        <f>B6-D6</f>
        <v>0.40000000000000036</v>
      </c>
      <c r="G6" s="9">
        <v>0.088</v>
      </c>
    </row>
    <row r="7" spans="1:7" ht="12.75">
      <c r="A7" s="16" t="str">
        <f>GAS!A7</f>
        <v>EBITDA</v>
      </c>
      <c r="B7" s="43">
        <v>87.4</v>
      </c>
      <c r="C7" s="74">
        <f>B7/B$3</f>
        <v>0.08373251580762599</v>
      </c>
      <c r="D7" s="43">
        <v>65</v>
      </c>
      <c r="E7" s="74">
        <f>D7/D$3</f>
        <v>0.05698755041206383</v>
      </c>
      <c r="F7" s="155">
        <f>B7-D7</f>
        <v>22.400000000000006</v>
      </c>
      <c r="G7" s="156">
        <f>B7/D7-1</f>
        <v>0.34461538461538477</v>
      </c>
    </row>
    <row r="8" ht="12.75">
      <c r="A8" s="17"/>
    </row>
    <row r="9" spans="1:7" ht="12.75">
      <c r="A9" s="109" t="s">
        <v>69</v>
      </c>
      <c r="B9" s="108">
        <f>B2</f>
        <v>41912</v>
      </c>
      <c r="C9" s="108">
        <f>D2</f>
        <v>41547</v>
      </c>
      <c r="D9" s="126" t="str">
        <f>F2</f>
        <v>Ch.</v>
      </c>
      <c r="E9" s="127" t="str">
        <f>G2</f>
        <v>Ch.%</v>
      </c>
      <c r="F9" s="76"/>
      <c r="G9" s="71"/>
    </row>
    <row r="10" spans="1:7" ht="12.75">
      <c r="A10" s="15" t="s">
        <v>68</v>
      </c>
      <c r="B10" s="27">
        <v>6809.5</v>
      </c>
      <c r="C10" s="27">
        <v>7108.6</v>
      </c>
      <c r="D10" s="33">
        <f>B10-C10</f>
        <v>-299.10000000000036</v>
      </c>
      <c r="E10" s="9">
        <f>B10/C10-1</f>
        <v>-0.04207579551529139</v>
      </c>
      <c r="F10" s="77"/>
      <c r="G10" s="52"/>
    </row>
    <row r="11" spans="1:7" ht="12.75">
      <c r="A11" s="18" t="s">
        <v>70</v>
      </c>
      <c r="B11" s="32">
        <v>2193.1</v>
      </c>
      <c r="C11" s="32">
        <v>2207.1</v>
      </c>
      <c r="D11" s="34">
        <f>B11-C11</f>
        <v>-14</v>
      </c>
      <c r="E11" s="10">
        <f>B11/C11-1</f>
        <v>-0.00634316523945444</v>
      </c>
      <c r="F11" s="77"/>
      <c r="G11" s="52"/>
    </row>
    <row r="12" ht="12.75">
      <c r="A12" s="17"/>
    </row>
    <row r="13" spans="1:5" ht="12.75">
      <c r="A13" s="109" t="s">
        <v>6</v>
      </c>
      <c r="B13" s="108">
        <f>+GAS!B15</f>
        <v>41912</v>
      </c>
      <c r="C13" s="108">
        <f>C9</f>
        <v>41547</v>
      </c>
      <c r="D13" s="126" t="str">
        <f>D9</f>
        <v>Ch.</v>
      </c>
      <c r="E13" s="127" t="str">
        <f>E9</f>
        <v>Ch.%</v>
      </c>
    </row>
    <row r="14" spans="1:5" s="13" customFormat="1" ht="12.75">
      <c r="A14" s="35" t="str">
        <f>GAS!A16</f>
        <v>EBITDA</v>
      </c>
      <c r="B14" s="164">
        <f>B7</f>
        <v>87.4</v>
      </c>
      <c r="C14" s="165">
        <f>D7</f>
        <v>65</v>
      </c>
      <c r="D14" s="161">
        <f>B14-C14</f>
        <v>22.400000000000006</v>
      </c>
      <c r="E14" s="154">
        <f>B14/C14-1</f>
        <v>0.34461538461538477</v>
      </c>
    </row>
    <row r="15" spans="1:5" ht="12.75">
      <c r="A15" s="2" t="str">
        <f>GAS!A17</f>
        <v>Group Ebitda</v>
      </c>
      <c r="B15" s="88">
        <f>GAS!B17</f>
        <v>632.7</v>
      </c>
      <c r="C15" s="88">
        <f>GAS!C17</f>
        <v>580.8</v>
      </c>
      <c r="D15" s="22">
        <f>B15-C15</f>
        <v>51.90000000000009</v>
      </c>
      <c r="E15" s="21">
        <f>B15/C15-1</f>
        <v>0.08935950413223148</v>
      </c>
    </row>
    <row r="16" spans="1:5" s="26" customFormat="1" ht="12.75">
      <c r="A16" s="36" t="str">
        <f>GAS!A18</f>
        <v>Incidence %</v>
      </c>
      <c r="B16" s="30">
        <f>+B14/B15</f>
        <v>0.13813813813813813</v>
      </c>
      <c r="C16" s="30">
        <f>+C14/C15</f>
        <v>0.1119146005509642</v>
      </c>
      <c r="D16" s="145"/>
      <c r="E16" s="25"/>
    </row>
  </sheetData>
  <sheetProtection/>
  <printOptions/>
  <pageMargins left="0.75" right="0.75" top="1" bottom="1" header="0.5" footer="0.5"/>
  <pageSetup orientation="portrait" paperSize="9"/>
  <ignoredErrors>
    <ignoredError sqref="F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1.28125" style="0" customWidth="1"/>
    <col min="5" max="5" width="8.421875" style="0" bestFit="1" customWidth="1"/>
    <col min="6" max="6" width="9.28125" style="0" customWidth="1"/>
    <col min="7" max="7" width="12.7109375" style="0" bestFit="1" customWidth="1"/>
  </cols>
  <sheetData>
    <row r="2" spans="1:7" ht="12.75">
      <c r="A2" s="113" t="s">
        <v>63</v>
      </c>
      <c r="B2" s="114">
        <f>+Elecricity!B2</f>
        <v>41912</v>
      </c>
      <c r="C2" s="121" t="s">
        <v>81</v>
      </c>
      <c r="D2" s="114">
        <f>+Elecricity!D2</f>
        <v>41547</v>
      </c>
      <c r="E2" s="121" t="s">
        <v>81</v>
      </c>
      <c r="F2" s="128" t="s">
        <v>43</v>
      </c>
      <c r="G2" s="129" t="s">
        <v>42</v>
      </c>
    </row>
    <row r="3" spans="1:7" ht="12.75">
      <c r="A3" s="14" t="str">
        <f>Elecricity!A3</f>
        <v>Revenues</v>
      </c>
      <c r="B3" s="166">
        <v>587.6</v>
      </c>
      <c r="C3" s="78">
        <f>+B3/B$3</f>
        <v>1</v>
      </c>
      <c r="D3" s="166">
        <v>550.9</v>
      </c>
      <c r="E3" s="78">
        <f>+D3/D$3</f>
        <v>1</v>
      </c>
      <c r="F3" s="153">
        <f>B3-D3</f>
        <v>36.700000000000045</v>
      </c>
      <c r="G3" s="154">
        <f>B3/D3-1</f>
        <v>0.06661826102740975</v>
      </c>
    </row>
    <row r="4" spans="1:7" ht="12.75">
      <c r="A4" s="23" t="str">
        <f>Elecricity!A4</f>
        <v>Operating costs</v>
      </c>
      <c r="B4" s="44">
        <v>-312.4</v>
      </c>
      <c r="C4" s="73">
        <f>+B4/B$3</f>
        <v>-0.5316541865214431</v>
      </c>
      <c r="D4" s="44">
        <v>-297.8</v>
      </c>
      <c r="E4" s="73">
        <f>+D4/D$3</f>
        <v>-0.5405699764022509</v>
      </c>
      <c r="F4" s="54">
        <f>B4-D4</f>
        <v>-14.599999999999966</v>
      </c>
      <c r="G4" s="9">
        <f>B4/D4-1</f>
        <v>0.04902619207521819</v>
      </c>
    </row>
    <row r="5" spans="1:7" ht="12.75">
      <c r="A5" s="23" t="str">
        <f>Elecricity!A5</f>
        <v>Personnel costs</v>
      </c>
      <c r="B5" s="44">
        <v>-107.8</v>
      </c>
      <c r="C5" s="73">
        <f>+B5/B$3</f>
        <v>-0.1834581347855684</v>
      </c>
      <c r="D5" s="44">
        <v>-105</v>
      </c>
      <c r="E5" s="73">
        <f>+D5/D$3</f>
        <v>-0.1905972045743329</v>
      </c>
      <c r="F5" s="54">
        <f>B5-D5</f>
        <v>-2.799999999999997</v>
      </c>
      <c r="G5" s="9">
        <f>B5/D5-1</f>
        <v>0.026666666666666616</v>
      </c>
    </row>
    <row r="6" spans="1:7" ht="12.75">
      <c r="A6" s="23" t="str">
        <f>Elecricity!A6</f>
        <v>Capitalisations</v>
      </c>
      <c r="B6" s="44">
        <v>1.6</v>
      </c>
      <c r="C6" s="73">
        <f>+B6/B$3</f>
        <v>0.0027229407760381214</v>
      </c>
      <c r="D6" s="44">
        <v>1.6</v>
      </c>
      <c r="E6" s="73">
        <f>+D6/D$3</f>
        <v>0.0029043383554184063</v>
      </c>
      <c r="F6" s="49">
        <f>B6-D6</f>
        <v>0</v>
      </c>
      <c r="G6" s="9">
        <f>+B6/D6-1</f>
        <v>0</v>
      </c>
    </row>
    <row r="7" spans="1:7" ht="12.75">
      <c r="A7" s="16" t="str">
        <f>Elecricity!A7</f>
        <v>EBITDA</v>
      </c>
      <c r="B7" s="167">
        <v>169</v>
      </c>
      <c r="C7" s="74">
        <f>+B7/B$3</f>
        <v>0.28761061946902655</v>
      </c>
      <c r="D7" s="167">
        <v>149.7</v>
      </c>
      <c r="E7" s="74">
        <f>+D7/D$3</f>
        <v>0.27173715737883464</v>
      </c>
      <c r="F7" s="155">
        <f>B7-D7</f>
        <v>19.30000000000001</v>
      </c>
      <c r="G7" s="156">
        <f>+B7/D7-1</f>
        <v>0.12892451569806296</v>
      </c>
    </row>
    <row r="8" spans="1:7" ht="12.75">
      <c r="A8" s="19"/>
      <c r="B8" s="3"/>
      <c r="C8" s="3"/>
      <c r="D8" s="3"/>
      <c r="E8" s="3"/>
      <c r="F8" s="3"/>
      <c r="G8" s="3"/>
    </row>
    <row r="9" spans="1:7" ht="12.75">
      <c r="A9" s="115" t="s">
        <v>67</v>
      </c>
      <c r="B9" s="114">
        <f>B2</f>
        <v>41912</v>
      </c>
      <c r="C9" s="114">
        <f>D2</f>
        <v>41547</v>
      </c>
      <c r="D9" s="128" t="str">
        <f>F2</f>
        <v>Ch.</v>
      </c>
      <c r="E9" s="129" t="str">
        <f>G2</f>
        <v>Ch. %</v>
      </c>
      <c r="F9" s="76"/>
      <c r="G9" s="71"/>
    </row>
    <row r="10" spans="1:7" ht="12.75">
      <c r="A10" s="131" t="s">
        <v>68</v>
      </c>
      <c r="C10" s="3"/>
      <c r="D10" s="3"/>
      <c r="E10" s="3"/>
      <c r="F10" s="81"/>
      <c r="G10" s="80"/>
    </row>
    <row r="11" spans="1:7" ht="12.75">
      <c r="A11" s="15" t="s">
        <v>45</v>
      </c>
      <c r="B11" s="37">
        <v>224.4</v>
      </c>
      <c r="C11" s="37">
        <v>233.7</v>
      </c>
      <c r="D11" s="11">
        <f>B11-C11</f>
        <v>-9.299999999999983</v>
      </c>
      <c r="E11" s="69">
        <f>B11/C11-1</f>
        <v>-0.03979460847240046</v>
      </c>
      <c r="F11" s="82"/>
      <c r="G11" s="83"/>
    </row>
    <row r="12" spans="1:7" ht="12.75">
      <c r="A12" s="15" t="s">
        <v>46</v>
      </c>
      <c r="B12" s="37">
        <v>184.9</v>
      </c>
      <c r="C12" s="37">
        <v>190.5</v>
      </c>
      <c r="D12" s="11">
        <f>B12-C12</f>
        <v>-5.599999999999994</v>
      </c>
      <c r="E12" s="69">
        <f>B12/C12-1</f>
        <v>-0.029396325459317585</v>
      </c>
      <c r="F12" s="82"/>
      <c r="G12" s="83"/>
    </row>
    <row r="13" spans="1:7" ht="12.75">
      <c r="A13" s="18" t="s">
        <v>47</v>
      </c>
      <c r="B13" s="45">
        <v>183.4</v>
      </c>
      <c r="C13" s="45">
        <v>188.3</v>
      </c>
      <c r="D13" s="12">
        <f>B13-C13</f>
        <v>-4.900000000000006</v>
      </c>
      <c r="E13" s="70">
        <f>B13/C13-1</f>
        <v>-0.02602230483271384</v>
      </c>
      <c r="F13" s="82"/>
      <c r="G13" s="83"/>
    </row>
    <row r="14" ht="12.75">
      <c r="A14" s="17"/>
    </row>
    <row r="15" spans="1:5" ht="12.75">
      <c r="A15" s="115" t="s">
        <v>6</v>
      </c>
      <c r="B15" s="114">
        <f>B9</f>
        <v>41912</v>
      </c>
      <c r="C15" s="114">
        <f>C9</f>
        <v>41547</v>
      </c>
      <c r="D15" s="128" t="str">
        <f>D9</f>
        <v>Ch.</v>
      </c>
      <c r="E15" s="129" t="str">
        <f>E9</f>
        <v>Ch. %</v>
      </c>
    </row>
    <row r="16" spans="1:5" s="13" customFormat="1" ht="12.75">
      <c r="A16" s="35" t="str">
        <f>Elecricity!A14</f>
        <v>EBITDA</v>
      </c>
      <c r="B16" s="168">
        <f>B7</f>
        <v>169</v>
      </c>
      <c r="C16" s="168">
        <f>D7</f>
        <v>149.7</v>
      </c>
      <c r="D16" s="161">
        <f>B16-C16</f>
        <v>19.30000000000001</v>
      </c>
      <c r="E16" s="154">
        <f>B16/C16-1</f>
        <v>0.12892451569806296</v>
      </c>
    </row>
    <row r="17" spans="1:5" ht="12.75">
      <c r="A17" s="2" t="str">
        <f>Elecricity!A15</f>
        <v>Group Ebitda</v>
      </c>
      <c r="B17" s="88">
        <f>Elecricity!B15</f>
        <v>632.7</v>
      </c>
      <c r="C17" s="88">
        <f>Elecricity!C15</f>
        <v>580.8</v>
      </c>
      <c r="D17" s="11">
        <f>B17-C17</f>
        <v>51.90000000000009</v>
      </c>
      <c r="E17" s="9">
        <f>B17/C17-1</f>
        <v>0.08935950413223148</v>
      </c>
    </row>
    <row r="18" spans="1:5" s="26" customFormat="1" ht="12.75">
      <c r="A18" s="36" t="str">
        <f>Elecricity!A16</f>
        <v>Incidence %</v>
      </c>
      <c r="B18" s="30">
        <f>+B16/B17</f>
        <v>0.2671092144776355</v>
      </c>
      <c r="C18" s="30">
        <f>+C16/C17</f>
        <v>0.2577479338842975</v>
      </c>
      <c r="D18" s="145"/>
      <c r="E18" s="2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7" width="11.28125" style="0" customWidth="1"/>
  </cols>
  <sheetData>
    <row r="2" spans="1:7" ht="12.75">
      <c r="A2" s="110" t="s">
        <v>63</v>
      </c>
      <c r="B2" s="111">
        <f>+Water!B2</f>
        <v>41912</v>
      </c>
      <c r="C2" s="122" t="s">
        <v>81</v>
      </c>
      <c r="D2" s="111">
        <f>+Water!D2</f>
        <v>41547</v>
      </c>
      <c r="E2" s="122" t="s">
        <v>81</v>
      </c>
      <c r="F2" s="132" t="s">
        <v>43</v>
      </c>
      <c r="G2" s="133" t="s">
        <v>44</v>
      </c>
    </row>
    <row r="3" spans="1:7" ht="12.75">
      <c r="A3" s="14" t="str">
        <f>Water!A3</f>
        <v>Revenues</v>
      </c>
      <c r="B3" s="151">
        <v>651.1</v>
      </c>
      <c r="C3" s="72">
        <f>+B3/B$3</f>
        <v>1</v>
      </c>
      <c r="D3" s="151">
        <v>637.2</v>
      </c>
      <c r="E3" s="72">
        <f>+D3/D$3</f>
        <v>1</v>
      </c>
      <c r="F3" s="153">
        <f>B3-D3</f>
        <v>13.899999999999977</v>
      </c>
      <c r="G3" s="154">
        <f>B3/D3-1</f>
        <v>0.021814187068424307</v>
      </c>
    </row>
    <row r="4" spans="1:7" ht="12.75">
      <c r="A4" s="23" t="str">
        <f>Water!A4</f>
        <v>Operating costs</v>
      </c>
      <c r="B4" s="31">
        <v>-346.6</v>
      </c>
      <c r="C4" s="73">
        <f>+B4/B$3</f>
        <v>-0.5323299032406696</v>
      </c>
      <c r="D4" s="31">
        <v>-338.04</v>
      </c>
      <c r="E4" s="73">
        <f>+D4/D$3</f>
        <v>-0.5305084745762711</v>
      </c>
      <c r="F4" s="54">
        <f>B4-D4</f>
        <v>-8.560000000000002</v>
      </c>
      <c r="G4" s="9">
        <f>B4/D4-1</f>
        <v>0.025322447047686714</v>
      </c>
    </row>
    <row r="5" spans="1:7" ht="12.75">
      <c r="A5" s="23" t="str">
        <f>Water!A5</f>
        <v>Personnel costs</v>
      </c>
      <c r="B5" s="31">
        <v>-129.4</v>
      </c>
      <c r="C5" s="73">
        <f>+B5/B$3</f>
        <v>-0.1987405928428813</v>
      </c>
      <c r="D5" s="31">
        <v>-126.5</v>
      </c>
      <c r="E5" s="73">
        <f>+D5/D$3</f>
        <v>-0.1985247959824231</v>
      </c>
      <c r="F5" s="54">
        <f>B5-D5</f>
        <v>-2.9000000000000057</v>
      </c>
      <c r="G5" s="9">
        <f>B5/D5-1</f>
        <v>0.02292490118577084</v>
      </c>
    </row>
    <row r="6" spans="1:7" ht="12.75">
      <c r="A6" s="23" t="str">
        <f>Water!A6</f>
        <v>Capitalisations</v>
      </c>
      <c r="B6" s="31">
        <v>1.5</v>
      </c>
      <c r="C6" s="73">
        <f>+B6/B$3</f>
        <v>0.0023037935800952233</v>
      </c>
      <c r="D6" s="31">
        <v>1.8</v>
      </c>
      <c r="E6" s="73">
        <f>+D6/D$3</f>
        <v>0.002824858757062147</v>
      </c>
      <c r="F6" s="49">
        <f>B6-D6</f>
        <v>-0.30000000000000004</v>
      </c>
      <c r="G6" s="9">
        <v>-0.171</v>
      </c>
    </row>
    <row r="7" spans="1:7" ht="12.75">
      <c r="A7" s="16" t="str">
        <f>Water!A7</f>
        <v>EBITDA</v>
      </c>
      <c r="B7" s="152">
        <v>176.7</v>
      </c>
      <c r="C7" s="74">
        <f>+B7/B$3</f>
        <v>0.2713868837352173</v>
      </c>
      <c r="D7" s="152">
        <v>174.4</v>
      </c>
      <c r="E7" s="74">
        <f>+D7/D$3</f>
        <v>0.2736974262397991</v>
      </c>
      <c r="F7" s="155">
        <f>B7-D7</f>
        <v>2.299999999999983</v>
      </c>
      <c r="G7" s="156">
        <f>B7/D7-1</f>
        <v>0.013188073394495348</v>
      </c>
    </row>
    <row r="8" spans="1:7" ht="12.75">
      <c r="A8" s="19"/>
      <c r="B8" s="3"/>
      <c r="C8" s="3"/>
      <c r="D8" s="3"/>
      <c r="E8" s="3"/>
      <c r="F8" s="3"/>
      <c r="G8" s="3"/>
    </row>
    <row r="9" spans="1:7" ht="12.75">
      <c r="A9" s="112" t="s">
        <v>48</v>
      </c>
      <c r="B9" s="111">
        <f>B2</f>
        <v>41912</v>
      </c>
      <c r="C9" s="122" t="s">
        <v>81</v>
      </c>
      <c r="D9" s="111">
        <f>D2</f>
        <v>41547</v>
      </c>
      <c r="E9" s="122" t="s">
        <v>81</v>
      </c>
      <c r="F9" s="132" t="str">
        <f>F2</f>
        <v>Ch.</v>
      </c>
      <c r="G9" s="133" t="str">
        <f>G2</f>
        <v>Ch.%</v>
      </c>
    </row>
    <row r="10" spans="1:7" ht="12.75">
      <c r="A10" s="15" t="s">
        <v>72</v>
      </c>
      <c r="B10" s="51">
        <v>1516.57</v>
      </c>
      <c r="C10" s="85">
        <f>+B10/B$15</f>
        <v>0.3101801477506074</v>
      </c>
      <c r="D10" s="24">
        <v>1503.3</v>
      </c>
      <c r="E10" s="85">
        <f>+D10/D$15</f>
        <v>0.32966382316177273</v>
      </c>
      <c r="F10" s="11">
        <f>B10-D10</f>
        <v>13.269999999999982</v>
      </c>
      <c r="G10" s="9">
        <f>B10/D10-1</f>
        <v>0.008827246723874138</v>
      </c>
    </row>
    <row r="11" spans="1:7" ht="12.75">
      <c r="A11" s="15" t="s">
        <v>73</v>
      </c>
      <c r="B11" s="142">
        <v>1605.78</v>
      </c>
      <c r="C11" s="85">
        <f>+B11/B$15</f>
        <v>0.32842603879476084</v>
      </c>
      <c r="D11" s="31">
        <v>1338</v>
      </c>
      <c r="E11" s="85">
        <f>+D11/D$15</f>
        <v>0.29341461810048025</v>
      </c>
      <c r="F11" s="11">
        <f>B11-D11</f>
        <v>267.78</v>
      </c>
      <c r="G11" s="9">
        <f>B11/D11-1</f>
        <v>0.20013452914798213</v>
      </c>
    </row>
    <row r="12" spans="1:7" s="13" customFormat="1" ht="12.75">
      <c r="A12" s="39" t="s">
        <v>74</v>
      </c>
      <c r="B12" s="169">
        <f>SUM(B10:B11)</f>
        <v>3122.35</v>
      </c>
      <c r="C12" s="89">
        <f>+B12/B$15</f>
        <v>0.6386061865453683</v>
      </c>
      <c r="D12" s="170">
        <f>+D10+D11</f>
        <v>2841.3</v>
      </c>
      <c r="E12" s="89">
        <f>+D12/D$15</f>
        <v>0.623078441262253</v>
      </c>
      <c r="F12" s="171">
        <f>B12-D12</f>
        <v>281.0499999999997</v>
      </c>
      <c r="G12" s="172">
        <f>B12/D12-1</f>
        <v>0.09891598915989142</v>
      </c>
    </row>
    <row r="13" spans="1:7" ht="12.75">
      <c r="A13" s="15" t="s">
        <v>49</v>
      </c>
      <c r="B13" s="142">
        <v>1766.97</v>
      </c>
      <c r="C13" s="85">
        <f>+B13/B$15</f>
        <v>0.36139381345463173</v>
      </c>
      <c r="D13" s="31">
        <v>1718.8</v>
      </c>
      <c r="E13" s="85">
        <f>+D13/D$15</f>
        <v>0.37692155873774696</v>
      </c>
      <c r="F13" s="11">
        <f>B13-D13</f>
        <v>48.17000000000007</v>
      </c>
      <c r="G13" s="9">
        <f>B13/D13-1</f>
        <v>0.028025366534791818</v>
      </c>
    </row>
    <row r="14" spans="1:7" ht="4.5" customHeight="1">
      <c r="A14" s="15"/>
      <c r="B14" s="142"/>
      <c r="C14" s="85"/>
      <c r="D14" s="31"/>
      <c r="E14" s="85"/>
      <c r="F14" s="11"/>
      <c r="G14" s="9"/>
    </row>
    <row r="15" spans="1:7" s="26" customFormat="1" ht="12.75">
      <c r="A15" s="39" t="s">
        <v>50</v>
      </c>
      <c r="B15" s="169">
        <f>SUM(B12:B13)</f>
        <v>4889.32</v>
      </c>
      <c r="C15" s="89">
        <f>+B15/B$15</f>
        <v>1</v>
      </c>
      <c r="D15" s="170">
        <f>SUM(D12:D13)</f>
        <v>4560.1</v>
      </c>
      <c r="E15" s="89">
        <f>+D15/D$15</f>
        <v>1</v>
      </c>
      <c r="F15" s="171">
        <f>B15-D15</f>
        <v>329.21999999999935</v>
      </c>
      <c r="G15" s="172">
        <f>B15/D15-1</f>
        <v>0.07219578518014935</v>
      </c>
    </row>
    <row r="16" spans="1:7" s="26" customFormat="1" ht="4.5" customHeight="1">
      <c r="A16" s="14"/>
      <c r="B16" s="143"/>
      <c r="C16" s="90"/>
      <c r="D16" s="13"/>
      <c r="E16" s="90"/>
      <c r="F16" s="13"/>
      <c r="G16" s="48"/>
    </row>
    <row r="17" spans="1:7" ht="12.75">
      <c r="A17" s="15" t="s">
        <v>51</v>
      </c>
      <c r="B17" s="142">
        <v>914.1</v>
      </c>
      <c r="C17" s="85">
        <f aca="true" t="shared" si="0" ref="C17:C23">+B17/B$23</f>
        <v>0.18695774889862438</v>
      </c>
      <c r="D17" s="31">
        <v>907.1</v>
      </c>
      <c r="E17" s="85">
        <f aca="true" t="shared" si="1" ref="E17:E23">+D17/D$23</f>
        <v>0.19891933142403526</v>
      </c>
      <c r="F17" s="11">
        <f aca="true" t="shared" si="2" ref="F17:F23">B17-D17</f>
        <v>7</v>
      </c>
      <c r="G17" s="9">
        <f aca="true" t="shared" si="3" ref="G17:G23">B17/D17-1</f>
        <v>0.007716900011024208</v>
      </c>
    </row>
    <row r="18" spans="1:7" ht="12.75">
      <c r="A18" s="15" t="s">
        <v>52</v>
      </c>
      <c r="B18" s="142">
        <v>1041.4</v>
      </c>
      <c r="C18" s="85">
        <f t="shared" si="0"/>
        <v>0.2129939828279482</v>
      </c>
      <c r="D18" s="31">
        <v>1015.4</v>
      </c>
      <c r="E18" s="85">
        <f t="shared" si="1"/>
        <v>0.2226686022797546</v>
      </c>
      <c r="F18" s="40">
        <f t="shared" si="2"/>
        <v>26.000000000000114</v>
      </c>
      <c r="G18" s="9">
        <f t="shared" si="3"/>
        <v>0.02560567264132363</v>
      </c>
    </row>
    <row r="19" spans="1:7" ht="12.75">
      <c r="A19" s="15" t="s">
        <v>53</v>
      </c>
      <c r="B19" s="142">
        <v>340.6</v>
      </c>
      <c r="C19" s="85">
        <f t="shared" si="0"/>
        <v>0.06966175393815936</v>
      </c>
      <c r="D19" s="31">
        <v>279.2</v>
      </c>
      <c r="E19" s="85">
        <f t="shared" si="1"/>
        <v>0.06122619042397821</v>
      </c>
      <c r="F19" s="11">
        <f t="shared" si="2"/>
        <v>61.400000000000034</v>
      </c>
      <c r="G19" s="9">
        <f t="shared" si="3"/>
        <v>0.21991404011461335</v>
      </c>
    </row>
    <row r="20" spans="1:7" ht="12.75">
      <c r="A20" s="15" t="s">
        <v>54</v>
      </c>
      <c r="B20" s="142">
        <v>366.7</v>
      </c>
      <c r="C20" s="85">
        <f t="shared" si="0"/>
        <v>0.07499989773670884</v>
      </c>
      <c r="D20" s="31">
        <v>368.1</v>
      </c>
      <c r="E20" s="85">
        <f t="shared" si="1"/>
        <v>0.0807212059278882</v>
      </c>
      <c r="F20" s="11">
        <f t="shared" si="2"/>
        <v>-1.400000000000034</v>
      </c>
      <c r="G20" s="9">
        <f t="shared" si="3"/>
        <v>-0.003803314316761841</v>
      </c>
    </row>
    <row r="21" spans="1:7" ht="12.75">
      <c r="A21" s="15" t="s">
        <v>75</v>
      </c>
      <c r="B21" s="142">
        <v>906.47</v>
      </c>
      <c r="C21" s="85">
        <f t="shared" si="0"/>
        <v>0.1853972110755235</v>
      </c>
      <c r="D21" s="31">
        <v>826.07</v>
      </c>
      <c r="E21" s="85">
        <f t="shared" si="1"/>
        <v>0.18115014012727682</v>
      </c>
      <c r="F21" s="11">
        <f t="shared" si="2"/>
        <v>80.39999999999998</v>
      </c>
      <c r="G21" s="9">
        <f t="shared" si="3"/>
        <v>0.09732831358117355</v>
      </c>
    </row>
    <row r="22" spans="1:7" ht="12.75">
      <c r="A22" s="15" t="s">
        <v>55</v>
      </c>
      <c r="B22" s="142">
        <v>1320.07</v>
      </c>
      <c r="C22" s="85">
        <f t="shared" si="0"/>
        <v>0.26998940552303585</v>
      </c>
      <c r="D22" s="31">
        <v>1164.27</v>
      </c>
      <c r="E22" s="85">
        <f t="shared" si="1"/>
        <v>0.25531452981706704</v>
      </c>
      <c r="F22" s="11">
        <f t="shared" si="2"/>
        <v>155.79999999999995</v>
      </c>
      <c r="G22" s="9">
        <f t="shared" si="3"/>
        <v>0.13381775704948162</v>
      </c>
    </row>
    <row r="23" spans="1:7" ht="12.75">
      <c r="A23" s="39" t="s">
        <v>50</v>
      </c>
      <c r="B23" s="169">
        <f>SUM(B17:B22)</f>
        <v>4889.339999999999</v>
      </c>
      <c r="C23" s="89">
        <f t="shared" si="0"/>
        <v>1</v>
      </c>
      <c r="D23" s="170">
        <f>SUM(D17:D22)</f>
        <v>4560.139999999999</v>
      </c>
      <c r="E23" s="89">
        <f t="shared" si="1"/>
        <v>1</v>
      </c>
      <c r="F23" s="171">
        <f t="shared" si="2"/>
        <v>329.1999999999998</v>
      </c>
      <c r="G23" s="172">
        <f t="shared" si="3"/>
        <v>0.07219076607297148</v>
      </c>
    </row>
    <row r="25" spans="1:5" ht="12.75">
      <c r="A25" s="112" t="s">
        <v>6</v>
      </c>
      <c r="B25" s="111">
        <f>B9</f>
        <v>41912</v>
      </c>
      <c r="C25" s="111">
        <f>D9</f>
        <v>41547</v>
      </c>
      <c r="D25" s="132" t="str">
        <f>F9</f>
        <v>Ch.</v>
      </c>
      <c r="E25" s="133" t="str">
        <f>G9</f>
        <v>Ch.%</v>
      </c>
    </row>
    <row r="26" spans="1:5" ht="12.75">
      <c r="A26" s="35" t="str">
        <f>Water!A16</f>
        <v>EBITDA</v>
      </c>
      <c r="B26" s="164">
        <f>B7</f>
        <v>176.7</v>
      </c>
      <c r="C26" s="164">
        <f>D7</f>
        <v>174.4</v>
      </c>
      <c r="D26" s="161">
        <f>B26-C26</f>
        <v>2.299999999999983</v>
      </c>
      <c r="E26" s="154">
        <f>B26/C26-1</f>
        <v>0.013188073394495348</v>
      </c>
    </row>
    <row r="27" spans="1:5" ht="12.75">
      <c r="A27" s="2" t="str">
        <f>Water!A17</f>
        <v>Group Ebitda</v>
      </c>
      <c r="B27" s="88">
        <f>Water!B17</f>
        <v>632.7</v>
      </c>
      <c r="C27" s="88">
        <f>Water!C17</f>
        <v>580.8</v>
      </c>
      <c r="D27" s="11">
        <f>B27-C27</f>
        <v>51.90000000000009</v>
      </c>
      <c r="E27" s="9">
        <f>B27/C27-1</f>
        <v>0.08935950413223148</v>
      </c>
    </row>
    <row r="28" spans="1:5" ht="12.75">
      <c r="A28" s="36" t="str">
        <f>Water!A18</f>
        <v>Incidence %</v>
      </c>
      <c r="B28" s="30">
        <f>+B26/B27</f>
        <v>0.27927927927927926</v>
      </c>
      <c r="C28" s="30">
        <f>+C26/C27</f>
        <v>0.30027548209366395</v>
      </c>
      <c r="D28" s="145"/>
      <c r="E28" s="38"/>
    </row>
  </sheetData>
  <sheetProtection/>
  <printOptions/>
  <pageMargins left="0.17" right="0.17" top="1" bottom="1" header="0.5" footer="0.5"/>
  <pageSetup horizontalDpi="600" verticalDpi="600" orientation="landscape" paperSize="9" scale="90" r:id="rId1"/>
  <ignoredErrors>
    <ignoredError sqref="D12:G23 C15:C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140625" style="0" bestFit="1" customWidth="1"/>
    <col min="3" max="3" width="11.7109375" style="0" customWidth="1"/>
    <col min="4" max="4" width="10.140625" style="0" bestFit="1" customWidth="1"/>
    <col min="5" max="5" width="11.421875" style="0" customWidth="1"/>
    <col min="6" max="6" width="13.140625" style="0" customWidth="1"/>
    <col min="7" max="7" width="13.421875" style="0" customWidth="1"/>
  </cols>
  <sheetData>
    <row r="2" spans="1:7" ht="12.75">
      <c r="A2" s="116" t="s">
        <v>63</v>
      </c>
      <c r="B2" s="117">
        <f>+Waste!B2</f>
        <v>41912</v>
      </c>
      <c r="C2" s="123" t="s">
        <v>81</v>
      </c>
      <c r="D2" s="117">
        <f>+Waste!D2</f>
        <v>41547</v>
      </c>
      <c r="E2" s="123" t="s">
        <v>81</v>
      </c>
      <c r="F2" s="134" t="s">
        <v>43</v>
      </c>
      <c r="G2" s="135" t="s">
        <v>42</v>
      </c>
    </row>
    <row r="3" spans="1:7" ht="12.75">
      <c r="A3" s="14" t="str">
        <f>Waste!A3</f>
        <v>Revenues</v>
      </c>
      <c r="B3" s="151">
        <v>87.3</v>
      </c>
      <c r="C3" s="78">
        <f>+B3/B$3</f>
        <v>1</v>
      </c>
      <c r="D3" s="151">
        <v>91</v>
      </c>
      <c r="E3" s="78">
        <f>+D3/D$3</f>
        <v>1</v>
      </c>
      <c r="F3" s="153">
        <f>B3-D3</f>
        <v>-3.700000000000003</v>
      </c>
      <c r="G3" s="154">
        <f>B3/D3-1</f>
        <v>-0.04065934065934074</v>
      </c>
    </row>
    <row r="4" spans="1:7" ht="12.75">
      <c r="A4" s="23" t="str">
        <f>Waste!A4</f>
        <v>Operating costs</v>
      </c>
      <c r="B4" s="31">
        <v>-58.7</v>
      </c>
      <c r="C4" s="73">
        <f>+B4/B$3</f>
        <v>-0.6723940435280642</v>
      </c>
      <c r="D4" s="31">
        <v>-58.6</v>
      </c>
      <c r="E4" s="73">
        <f>+D4/D$3</f>
        <v>-0.643956043956044</v>
      </c>
      <c r="F4" s="54">
        <f>B4-D4</f>
        <v>-0.10000000000000142</v>
      </c>
      <c r="G4" s="9">
        <f>B4/D4-1</f>
        <v>0.0017064846416381396</v>
      </c>
    </row>
    <row r="5" spans="1:7" ht="12.75">
      <c r="A5" s="23" t="str">
        <f>Waste!A5</f>
        <v>Personnel costs</v>
      </c>
      <c r="B5" s="31">
        <v>-14</v>
      </c>
      <c r="C5" s="73">
        <v>-0.161</v>
      </c>
      <c r="D5" s="31">
        <v>-15.9</v>
      </c>
      <c r="E5" s="73">
        <v>-0.174</v>
      </c>
      <c r="F5" s="54">
        <f>B5-D5</f>
        <v>1.9000000000000004</v>
      </c>
      <c r="G5" s="9">
        <v>-0.12</v>
      </c>
    </row>
    <row r="6" spans="1:7" ht="12.75">
      <c r="A6" s="23" t="str">
        <f>Waste!A6</f>
        <v>Capitalisations</v>
      </c>
      <c r="B6" s="31">
        <v>0.8</v>
      </c>
      <c r="C6" s="85">
        <v>0.01</v>
      </c>
      <c r="D6" s="31">
        <v>0.6</v>
      </c>
      <c r="E6" s="85">
        <f>+D6/D$3</f>
        <v>0.006593406593406593</v>
      </c>
      <c r="F6" s="49">
        <f>B6-D6</f>
        <v>0.20000000000000007</v>
      </c>
      <c r="G6" s="9">
        <v>0.323</v>
      </c>
    </row>
    <row r="7" spans="1:7" ht="12.75">
      <c r="A7" s="16" t="str">
        <f>Waste!A7</f>
        <v>EBITDA</v>
      </c>
      <c r="B7" s="152">
        <v>15.5</v>
      </c>
      <c r="C7" s="86">
        <v>0.177</v>
      </c>
      <c r="D7" s="152">
        <v>17.1</v>
      </c>
      <c r="E7" s="86">
        <f>+D7/D$3</f>
        <v>0.18791208791208794</v>
      </c>
      <c r="F7" s="155">
        <f>B7-D7</f>
        <v>-1.6000000000000014</v>
      </c>
      <c r="G7" s="156">
        <v>-0.098</v>
      </c>
    </row>
    <row r="8" spans="1:7" ht="12.75">
      <c r="A8" s="19"/>
      <c r="B8" s="3"/>
      <c r="C8" s="3"/>
      <c r="D8" s="3"/>
      <c r="E8" s="3"/>
      <c r="F8" s="3"/>
      <c r="G8" s="3"/>
    </row>
    <row r="9" spans="1:7" ht="12.75">
      <c r="A9" s="116"/>
      <c r="B9" s="117">
        <f>B2</f>
        <v>41912</v>
      </c>
      <c r="C9" s="117">
        <f>D2</f>
        <v>41547</v>
      </c>
      <c r="D9" s="134" t="str">
        <f>F2</f>
        <v>Ch.</v>
      </c>
      <c r="E9" s="135" t="str">
        <f>G2</f>
        <v>Ch. %</v>
      </c>
      <c r="F9" s="71"/>
      <c r="G9" s="71"/>
    </row>
    <row r="10" spans="1:7" ht="12.75">
      <c r="A10" s="130" t="s">
        <v>56</v>
      </c>
      <c r="D10" s="11"/>
      <c r="E10" s="69"/>
      <c r="F10" s="80"/>
      <c r="G10" s="80"/>
    </row>
    <row r="11" spans="1:7" ht="12.75">
      <c r="A11" s="15" t="s">
        <v>57</v>
      </c>
      <c r="B11" s="37">
        <v>490.4</v>
      </c>
      <c r="C11" s="37">
        <v>422.5</v>
      </c>
      <c r="D11" s="11">
        <f>B11-C11</f>
        <v>67.89999999999998</v>
      </c>
      <c r="E11" s="69">
        <f>B11/C11-1</f>
        <v>0.16071005917159753</v>
      </c>
      <c r="F11" s="53"/>
      <c r="G11" s="53"/>
    </row>
    <row r="12" spans="1:7" ht="12.75">
      <c r="A12" s="18" t="s">
        <v>58</v>
      </c>
      <c r="B12" s="20">
        <v>145</v>
      </c>
      <c r="C12" s="20">
        <v>109</v>
      </c>
      <c r="D12" s="41">
        <f>B12-C12</f>
        <v>36</v>
      </c>
      <c r="E12" s="70">
        <f>B12/C12-1</f>
        <v>0.3302752293577982</v>
      </c>
      <c r="F12" s="84"/>
      <c r="G12" s="84"/>
    </row>
    <row r="13" ht="12.75">
      <c r="A13" s="17"/>
    </row>
    <row r="14" spans="1:5" ht="14.25" customHeight="1">
      <c r="A14" s="118" t="s">
        <v>6</v>
      </c>
      <c r="B14" s="117">
        <f>B9</f>
        <v>41912</v>
      </c>
      <c r="C14" s="117">
        <f>C9</f>
        <v>41547</v>
      </c>
      <c r="D14" s="134" t="str">
        <f>D9</f>
        <v>Ch.</v>
      </c>
      <c r="E14" s="135" t="str">
        <f>E9</f>
        <v>Ch. %</v>
      </c>
    </row>
    <row r="15" spans="1:5" s="13" customFormat="1" ht="12.75">
      <c r="A15" s="35" t="str">
        <f>Waste!A26</f>
        <v>EBITDA</v>
      </c>
      <c r="B15" s="28">
        <f>B7</f>
        <v>15.5</v>
      </c>
      <c r="C15" s="28">
        <f>D7</f>
        <v>17.1</v>
      </c>
      <c r="D15" s="161">
        <f>B15-C15</f>
        <v>-1.6000000000000014</v>
      </c>
      <c r="E15" s="154">
        <v>-0.098</v>
      </c>
    </row>
    <row r="16" spans="1:5" ht="12.75">
      <c r="A16" s="2" t="str">
        <f>Waste!A27</f>
        <v>Group Ebitda</v>
      </c>
      <c r="B16" s="37">
        <f>Waste!B27</f>
        <v>632.7</v>
      </c>
      <c r="C16" s="37">
        <f>Waste!C27</f>
        <v>580.8</v>
      </c>
      <c r="D16" s="11">
        <f>B16-C16</f>
        <v>51.90000000000009</v>
      </c>
      <c r="E16" s="9">
        <f>B16/C16-1</f>
        <v>0.08935950413223148</v>
      </c>
    </row>
    <row r="17" spans="1:5" s="26" customFormat="1" ht="12.75">
      <c r="A17" s="36" t="str">
        <f>Waste!A28</f>
        <v>Incidence %</v>
      </c>
      <c r="B17" s="30">
        <f>+B15/B16</f>
        <v>0.024498182392919232</v>
      </c>
      <c r="C17" s="30">
        <v>0.03</v>
      </c>
      <c r="D17" s="145"/>
      <c r="E1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2009-11-06T11:44:32Z</cp:lastPrinted>
  <dcterms:created xsi:type="dcterms:W3CDTF">2008-08-08T14:48:29Z</dcterms:created>
  <dcterms:modified xsi:type="dcterms:W3CDTF">2014-11-09T12:50:29Z</dcterms:modified>
  <cp:category/>
  <cp:version/>
  <cp:contentType/>
  <cp:contentStatus/>
</cp:coreProperties>
</file>